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ereri\Desktop\"/>
    </mc:Choice>
  </mc:AlternateContent>
  <bookViews>
    <workbookView xWindow="0" yWindow="0" windowWidth="21600" windowHeight="9720"/>
  </bookViews>
  <sheets>
    <sheet name="Sheet1" sheetId="1" r:id="rId1"/>
    <sheet name="Sheet2" sheetId="2" r:id="rId2"/>
  </sheets>
  <definedNames>
    <definedName name="_xlnm.Print_Area" localSheetId="0">Sheet1!$A$1:$M$39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F15" i="1"/>
  <c r="J26" i="1"/>
  <c r="F26" i="1"/>
  <c r="J34" i="1"/>
  <c r="J25" i="1" l="1"/>
  <c r="J19" i="1"/>
  <c r="J11" i="1" l="1"/>
  <c r="I11" i="1"/>
  <c r="I22" i="2"/>
  <c r="G37" i="2"/>
  <c r="G39" i="2"/>
  <c r="G41" i="2"/>
  <c r="G40" i="2"/>
  <c r="F22" i="2"/>
  <c r="H22" i="2" s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8" i="2"/>
  <c r="D21" i="2"/>
  <c r="D29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8" i="2"/>
  <c r="J17" i="1"/>
  <c r="F17" i="1"/>
  <c r="J30" i="1"/>
  <c r="J12" i="1"/>
  <c r="H12" i="1"/>
  <c r="J27" i="1"/>
  <c r="I27" i="1"/>
  <c r="F27" i="1"/>
  <c r="J18" i="1"/>
  <c r="F18" i="1"/>
  <c r="J8" i="1"/>
  <c r="J14" i="1"/>
  <c r="F14" i="1"/>
  <c r="J24" i="1"/>
  <c r="H13" i="1"/>
  <c r="J9" i="1"/>
  <c r="L9" i="1" s="1"/>
  <c r="H9" i="1"/>
  <c r="J13" i="1"/>
  <c r="J20" i="1"/>
  <c r="I31" i="1"/>
  <c r="J28" i="1"/>
  <c r="L21" i="1"/>
  <c r="M21" i="1" s="1"/>
  <c r="F21" i="2" s="1"/>
  <c r="H21" i="2" s="1"/>
  <c r="H11" i="1"/>
  <c r="H14" i="1"/>
  <c r="H15" i="1"/>
  <c r="L15" i="1" s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E8" i="1"/>
  <c r="H8" i="1"/>
  <c r="H10" i="1"/>
  <c r="F10" i="1"/>
  <c r="L10" i="1" s="1"/>
  <c r="E11" i="1"/>
  <c r="E12" i="1"/>
  <c r="E13" i="1"/>
  <c r="E14" i="1"/>
  <c r="E15" i="1"/>
  <c r="E16" i="1"/>
  <c r="E17" i="1"/>
  <c r="E18" i="1"/>
  <c r="E19" i="1"/>
  <c r="E20" i="1"/>
  <c r="E21" i="1"/>
  <c r="E22" i="1"/>
  <c r="L22" i="1" s="1"/>
  <c r="M22" i="1" s="1"/>
  <c r="E23" i="1"/>
  <c r="E24" i="1"/>
  <c r="E25" i="1"/>
  <c r="E26" i="1"/>
  <c r="E27" i="1"/>
  <c r="E28" i="1"/>
  <c r="E29" i="1"/>
  <c r="L29" i="1" s="1"/>
  <c r="M29" i="1" s="1"/>
  <c r="F29" i="2" s="1"/>
  <c r="H29" i="2" s="1"/>
  <c r="E30" i="1"/>
  <c r="E31" i="1"/>
  <c r="E32" i="1"/>
  <c r="L32" i="1" s="1"/>
  <c r="M32" i="1" s="1"/>
  <c r="F32" i="2" s="1"/>
  <c r="H32" i="2" s="1"/>
  <c r="E33" i="1"/>
  <c r="E34" i="1"/>
  <c r="E35" i="1"/>
  <c r="L35" i="1" s="1"/>
  <c r="E9" i="1"/>
  <c r="E10" i="1"/>
  <c r="D39" i="1"/>
  <c r="D38" i="1"/>
  <c r="D37" i="1"/>
  <c r="L26" i="1" l="1"/>
  <c r="I26" i="2" s="1"/>
  <c r="C39" i="2"/>
  <c r="D35" i="2"/>
  <c r="M35" i="1"/>
  <c r="F35" i="2" s="1"/>
  <c r="H35" i="2" s="1"/>
  <c r="I35" i="2"/>
  <c r="M10" i="1"/>
  <c r="F10" i="2" s="1"/>
  <c r="H10" i="2" s="1"/>
  <c r="I10" i="2"/>
  <c r="D10" i="2"/>
  <c r="D15" i="2"/>
  <c r="I15" i="2"/>
  <c r="M15" i="1"/>
  <c r="F15" i="2" s="1"/>
  <c r="H15" i="2" s="1"/>
  <c r="D9" i="2"/>
  <c r="I9" i="2"/>
  <c r="M26" i="1"/>
  <c r="F26" i="2" s="1"/>
  <c r="H26" i="2" s="1"/>
  <c r="L33" i="1"/>
  <c r="M33" i="1" s="1"/>
  <c r="F33" i="2" s="1"/>
  <c r="H33" i="2" s="1"/>
  <c r="L30" i="1"/>
  <c r="L25" i="1"/>
  <c r="M25" i="1" s="1"/>
  <c r="F25" i="2" s="1"/>
  <c r="H25" i="2" s="1"/>
  <c r="D22" i="2"/>
  <c r="I29" i="2"/>
  <c r="L20" i="1"/>
  <c r="D26" i="2"/>
  <c r="E39" i="2"/>
  <c r="C41" i="2"/>
  <c r="L18" i="1"/>
  <c r="C40" i="2"/>
  <c r="I21" i="2"/>
  <c r="D33" i="2"/>
  <c r="I33" i="2"/>
  <c r="L34" i="1"/>
  <c r="M34" i="1" s="1"/>
  <c r="F34" i="2" s="1"/>
  <c r="H34" i="2" s="1"/>
  <c r="D25" i="2"/>
  <c r="I32" i="2"/>
  <c r="D32" i="2"/>
  <c r="L19" i="1"/>
  <c r="I19" i="2" s="1"/>
  <c r="C37" i="2"/>
  <c r="E37" i="2"/>
  <c r="L11" i="1"/>
  <c r="M11" i="1" s="1"/>
  <c r="F11" i="2" s="1"/>
  <c r="I11" i="2"/>
  <c r="L17" i="1"/>
  <c r="L12" i="1"/>
  <c r="L24" i="1"/>
  <c r="L16" i="1"/>
  <c r="L27" i="1"/>
  <c r="L8" i="1"/>
  <c r="L14" i="1"/>
  <c r="M9" i="1"/>
  <c r="F9" i="2" s="1"/>
  <c r="H9" i="2" s="1"/>
  <c r="L13" i="1"/>
  <c r="L31" i="1"/>
  <c r="L28" i="1"/>
  <c r="L23" i="1"/>
  <c r="E38" i="1"/>
  <c r="E39" i="1"/>
  <c r="E37" i="1"/>
  <c r="M13" i="1" l="1"/>
  <c r="F13" i="2" s="1"/>
  <c r="H13" i="2" s="1"/>
  <c r="D13" i="2"/>
  <c r="I13" i="2"/>
  <c r="M17" i="1"/>
  <c r="F17" i="2" s="1"/>
  <c r="H17" i="2" s="1"/>
  <c r="I17" i="2"/>
  <c r="D17" i="2"/>
  <c r="I25" i="2"/>
  <c r="M18" i="1"/>
  <c r="F18" i="2" s="1"/>
  <c r="H18" i="2" s="1"/>
  <c r="D18" i="2"/>
  <c r="I18" i="2"/>
  <c r="M20" i="1"/>
  <c r="F20" i="2" s="1"/>
  <c r="H20" i="2" s="1"/>
  <c r="I20" i="2"/>
  <c r="D20" i="2"/>
  <c r="M28" i="1"/>
  <c r="F28" i="2" s="1"/>
  <c r="H28" i="2" s="1"/>
  <c r="D28" i="2"/>
  <c r="I28" i="2"/>
  <c r="M14" i="1"/>
  <c r="F14" i="2" s="1"/>
  <c r="H14" i="2" s="1"/>
  <c r="D14" i="2"/>
  <c r="I14" i="2"/>
  <c r="M24" i="1"/>
  <c r="F24" i="2" s="1"/>
  <c r="H24" i="2" s="1"/>
  <c r="D24" i="2"/>
  <c r="I24" i="2"/>
  <c r="M31" i="1"/>
  <c r="F31" i="2" s="1"/>
  <c r="H31" i="2" s="1"/>
  <c r="I31" i="2"/>
  <c r="D31" i="2"/>
  <c r="M8" i="1"/>
  <c r="F8" i="2" s="1"/>
  <c r="H8" i="2" s="1"/>
  <c r="D8" i="2"/>
  <c r="I8" i="2"/>
  <c r="I12" i="2"/>
  <c r="D12" i="2"/>
  <c r="D34" i="2"/>
  <c r="M27" i="1"/>
  <c r="F27" i="2" s="1"/>
  <c r="H27" i="2" s="1"/>
  <c r="I27" i="2"/>
  <c r="D27" i="2"/>
  <c r="M23" i="1"/>
  <c r="F23" i="2" s="1"/>
  <c r="H23" i="2" s="1"/>
  <c r="D23" i="2"/>
  <c r="I23" i="2"/>
  <c r="M16" i="1"/>
  <c r="F16" i="2" s="1"/>
  <c r="H16" i="2" s="1"/>
  <c r="I16" i="2"/>
  <c r="D16" i="2"/>
  <c r="M30" i="1"/>
  <c r="F30" i="2" s="1"/>
  <c r="H30" i="2" s="1"/>
  <c r="I30" i="2"/>
  <c r="D30" i="2"/>
  <c r="I34" i="2"/>
  <c r="D19" i="2"/>
  <c r="M19" i="1"/>
  <c r="F19" i="2" s="1"/>
  <c r="H19" i="2" s="1"/>
  <c r="D11" i="2"/>
  <c r="H11" i="2"/>
  <c r="M12" i="1"/>
  <c r="F12" i="2" s="1"/>
  <c r="H12" i="2" s="1"/>
  <c r="L39" i="1"/>
  <c r="L38" i="1"/>
  <c r="L37" i="1"/>
  <c r="D39" i="2" l="1"/>
  <c r="F41" i="2"/>
  <c r="D37" i="2"/>
  <c r="M39" i="1"/>
  <c r="M38" i="1"/>
  <c r="F37" i="2"/>
  <c r="F40" i="2"/>
  <c r="M37" i="1"/>
  <c r="F39" i="2"/>
  <c r="H39" i="2"/>
  <c r="D40" i="2"/>
  <c r="D41" i="2"/>
</calcChain>
</file>

<file path=xl/sharedStrings.xml><?xml version="1.0" encoding="utf-8"?>
<sst xmlns="http://schemas.openxmlformats.org/spreadsheetml/2006/main" count="117" uniqueCount="83">
  <si>
    <t>Alpena Community College</t>
  </si>
  <si>
    <t>Delta College</t>
  </si>
  <si>
    <t>Glen Oaks Community College</t>
  </si>
  <si>
    <t>Gogebic Community College</t>
  </si>
  <si>
    <t>Grand Rapids Community College</t>
  </si>
  <si>
    <t>Kellogg Community College</t>
  </si>
  <si>
    <t>Lansing Community College</t>
  </si>
  <si>
    <t>Montcalm Community College</t>
  </si>
  <si>
    <t>North Central Michigan College</t>
  </si>
  <si>
    <t>Southwestern Michigan College</t>
  </si>
  <si>
    <t>St. Clair County Community College</t>
  </si>
  <si>
    <t>West Shore Community College</t>
  </si>
  <si>
    <t>Kirtland Community College</t>
  </si>
  <si>
    <t>Monroe County Community College</t>
  </si>
  <si>
    <t>Henry Ford Community College</t>
  </si>
  <si>
    <t>Jackson Community College</t>
  </si>
  <si>
    <t>Kalamazoo Valley Community College</t>
  </si>
  <si>
    <t>Macomb Community College</t>
  </si>
  <si>
    <t>Oakland Community College</t>
  </si>
  <si>
    <t>Washtenaw Community College</t>
  </si>
  <si>
    <t>Mid Michigan Community College</t>
  </si>
  <si>
    <t>Schoolcraft College</t>
  </si>
  <si>
    <t>Northwestern Michigan College</t>
  </si>
  <si>
    <t>Bay College</t>
  </si>
  <si>
    <t>Lake Michigan College</t>
  </si>
  <si>
    <t>Mott Community College</t>
  </si>
  <si>
    <t>Muskegon Community College</t>
  </si>
  <si>
    <t>Wayne County Community College</t>
  </si>
  <si>
    <t xml:space="preserve">Michigan Community College </t>
  </si>
  <si>
    <t>Gibson Survey</t>
  </si>
  <si>
    <t>2015-2016</t>
  </si>
  <si>
    <t># of Hours</t>
  </si>
  <si>
    <t>Billed</t>
  </si>
  <si>
    <t>Credits</t>
  </si>
  <si>
    <t>Tuition</t>
  </si>
  <si>
    <t>Hourly Rate</t>
  </si>
  <si>
    <t>Cost</t>
  </si>
  <si>
    <t>Class</t>
  </si>
  <si>
    <t>Technology</t>
  </si>
  <si>
    <t>Registration</t>
  </si>
  <si>
    <t>Amount</t>
  </si>
  <si>
    <t>SURVEY COST</t>
  </si>
  <si>
    <t>COST PER CREDIT</t>
  </si>
  <si>
    <t>2015-16</t>
  </si>
  <si>
    <t>Fees</t>
  </si>
  <si>
    <t>Other</t>
  </si>
  <si>
    <t>Average</t>
  </si>
  <si>
    <t>High</t>
  </si>
  <si>
    <t>Low</t>
  </si>
  <si>
    <t>Per Hr.</t>
  </si>
  <si>
    <t>Total</t>
  </si>
  <si>
    <t>$56 Student Service Fee (12 or more contact hrs.)</t>
  </si>
  <si>
    <t>$30 Student Activities fee</t>
  </si>
  <si>
    <t>$45 Infrastructure Fee, $15/hr. Service Fee</t>
  </si>
  <si>
    <t>$6/hr. Facilities fee, $6/hr. Student Activity Fee</t>
  </si>
  <si>
    <t>$18/hr. College Services Fee</t>
  </si>
  <si>
    <t>$24 Health Services fee, $11.30/hr. General fee</t>
  </si>
  <si>
    <t>$1/hr. Activity fee, $2/hr. Advising fee, $5/hr. Facility fee</t>
  </si>
  <si>
    <t>Description</t>
  </si>
  <si>
    <t>$10 Campus Activities fee, $100 Facilities Maintenance fee, $37 Student Records</t>
  </si>
  <si>
    <t>$1.5/hr. Activity fee (15 hr max), $10/hr. Building &amp; Energy fee, $1/hr. Student Success fee, $25 Martriculation Fee (1st time students)</t>
  </si>
  <si>
    <t>$75 General fee</t>
  </si>
  <si>
    <t>$2/hr. Facility Fee, $4/hr. Institutional fee, $60 Student Service fee</t>
  </si>
  <si>
    <t>$8/hr. Insructional Equip Fee, $6/hr. Service fee, $6/hr. Infrastructure fee</t>
  </si>
  <si>
    <t>$3/hr. Student Services fee</t>
  </si>
  <si>
    <t>Tuition Rate</t>
  </si>
  <si>
    <t>Survey Cost</t>
  </si>
  <si>
    <t>Cost Per Credit</t>
  </si>
  <si>
    <t>% Increase</t>
  </si>
  <si>
    <t>Cost over Tuition</t>
  </si>
  <si>
    <t>Fall 2014</t>
  </si>
  <si>
    <t>Fall 2015</t>
  </si>
  <si>
    <t>$4/hr. Student Activities fee</t>
  </si>
  <si>
    <t>$13/hr. Facility fee, $1/hr. Student Activity fee, $14/hr. General fee, $3/hr. Student Senate fee</t>
  </si>
  <si>
    <t>$5.08 Student Activity Fee, $15.24 Student Service fee, $8.76/hr. Student Administration fee</t>
  </si>
  <si>
    <t>$10 Student Service fee</t>
  </si>
  <si>
    <t>$5/hr. Student Dev &amp; Success fee, $13/hr. Facility fee</t>
  </si>
  <si>
    <t>$11.00/hr. Student Support fee</t>
  </si>
  <si>
    <t>$2/hr. Student Activities fee</t>
  </si>
  <si>
    <t>$5/hr. Infastructure fee</t>
  </si>
  <si>
    <t>MCCBOA</t>
  </si>
  <si>
    <t>Gibson Survey of Cost-Comparative</t>
  </si>
  <si>
    <t>$4/hr (15 cr. Hr.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</si>
</sst>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44" fontId="0" fillId="0" borderId="1" xfId="2" applyFont="1" applyBorder="1"/>
    <xf numFmtId="44" fontId="0" fillId="0" borderId="0" xfId="2" applyFont="1"/>
    <xf numFmtId="44" fontId="1" fillId="0" borderId="1" xfId="2" applyFont="1" applyBorder="1"/>
    <xf numFmtId="44" fontId="1" fillId="0" borderId="1" xfId="2" applyFont="1" applyBorder="1" applyAlignment="1">
      <alignment horizontal="center"/>
    </xf>
    <xf numFmtId="44" fontId="1" fillId="0" borderId="0" xfId="2" applyFont="1"/>
    <xf numFmtId="44" fontId="1" fillId="0" borderId="1" xfId="2" applyFont="1" applyBorder="1" applyAlignment="1">
      <alignment horizontal="center" wrapText="1"/>
    </xf>
    <xf numFmtId="0" fontId="4" fillId="0" borderId="1" xfId="0" applyFont="1" applyBorder="1"/>
    <xf numFmtId="44" fontId="0" fillId="0" borderId="0" xfId="2" applyNumberFormat="1" applyFont="1"/>
    <xf numFmtId="44" fontId="2" fillId="0" borderId="1" xfId="2" applyFont="1" applyBorder="1"/>
    <xf numFmtId="0" fontId="2" fillId="0" borderId="1" xfId="0" applyFont="1" applyBorder="1" applyAlignment="1">
      <alignment wrapText="1"/>
    </xf>
    <xf numFmtId="164" fontId="0" fillId="0" borderId="0" xfId="0" applyNumberFormat="1"/>
    <xf numFmtId="44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2" fillId="0" borderId="0" xfId="0" applyFont="1" applyBorder="1"/>
    <xf numFmtId="44" fontId="0" fillId="0" borderId="8" xfId="2" applyFont="1" applyBorder="1"/>
    <xf numFmtId="44" fontId="0" fillId="0" borderId="0" xfId="0" applyNumberFormat="1" applyBorder="1"/>
    <xf numFmtId="0" fontId="0" fillId="0" borderId="10" xfId="0" applyBorder="1"/>
    <xf numFmtId="44" fontId="0" fillId="0" borderId="12" xfId="0" applyNumberFormat="1" applyBorder="1"/>
    <xf numFmtId="0" fontId="0" fillId="0" borderId="3" xfId="0" applyBorder="1"/>
    <xf numFmtId="165" fontId="0" fillId="0" borderId="0" xfId="0" applyNumberFormat="1"/>
    <xf numFmtId="43" fontId="0" fillId="0" borderId="8" xfId="1" applyFont="1" applyBorder="1"/>
    <xf numFmtId="44" fontId="0" fillId="0" borderId="5" xfId="2" applyFont="1" applyBorder="1"/>
    <xf numFmtId="44" fontId="0" fillId="0" borderId="13" xfId="0" applyNumberFormat="1" applyBorder="1"/>
    <xf numFmtId="44" fontId="0" fillId="0" borderId="2" xfId="0" applyNumberFormat="1" applyBorder="1"/>
    <xf numFmtId="9" fontId="0" fillId="0" borderId="0" xfId="3" applyFont="1"/>
    <xf numFmtId="166" fontId="0" fillId="0" borderId="0" xfId="3" applyNumberFormat="1" applyFont="1"/>
    <xf numFmtId="43" fontId="0" fillId="0" borderId="0" xfId="1" applyFont="1"/>
    <xf numFmtId="166" fontId="0" fillId="0" borderId="0" xfId="3" applyNumberFormat="1" applyFont="1" applyAlignment="1">
      <alignment wrapText="1"/>
    </xf>
    <xf numFmtId="0" fontId="5" fillId="0" borderId="7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4" fontId="2" fillId="0" borderId="1" xfId="2" applyFont="1" applyBorder="1" applyAlignment="1">
      <alignment wrapText="1"/>
    </xf>
    <xf numFmtId="44" fontId="0" fillId="0" borderId="0" xfId="2" applyFont="1" applyFill="1"/>
    <xf numFmtId="44" fontId="1" fillId="0" borderId="0" xfId="2" applyFont="1" applyFill="1"/>
    <xf numFmtId="44" fontId="1" fillId="0" borderId="0" xfId="2" applyFont="1" applyFill="1" applyBorder="1"/>
    <xf numFmtId="44" fontId="1" fillId="0" borderId="1" xfId="2" applyFont="1" applyFill="1" applyBorder="1" applyAlignment="1">
      <alignment horizontal="center" wrapText="1"/>
    </xf>
    <xf numFmtId="44" fontId="2" fillId="0" borderId="1" xfId="2" applyFont="1" applyFill="1" applyBorder="1"/>
    <xf numFmtId="44" fontId="0" fillId="0" borderId="1" xfId="2" applyFont="1" applyFill="1" applyBorder="1"/>
    <xf numFmtId="44" fontId="1" fillId="0" borderId="1" xfId="2" applyFont="1" applyFill="1" applyBorder="1"/>
    <xf numFmtId="166" fontId="0" fillId="0" borderId="6" xfId="3" applyNumberFormat="1" applyFont="1" applyBorder="1"/>
    <xf numFmtId="0" fontId="1" fillId="0" borderId="1" xfId="0" applyFont="1" applyBorder="1" applyAlignment="1">
      <alignment horizontal="center"/>
    </xf>
    <xf numFmtId="44" fontId="1" fillId="0" borderId="1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="91" zoomScaleNormal="91" workbookViewId="0">
      <pane xSplit="1" ySplit="7" topLeftCell="B14" activePane="bottomRight" state="frozen"/>
      <selection pane="topRight" activeCell="C1" sqref="C1"/>
      <selection pane="bottomLeft" activeCell="A8" sqref="A8"/>
      <selection pane="bottomRight" activeCell="G23" sqref="G23"/>
    </sheetView>
  </sheetViews>
  <sheetFormatPr defaultRowHeight="15" x14ac:dyDescent="0.25"/>
  <cols>
    <col min="1" max="1" width="35.28515625" bestFit="1" customWidth="1"/>
    <col min="4" max="4" width="11.28515625" bestFit="1" customWidth="1"/>
    <col min="5" max="5" width="11" bestFit="1" customWidth="1"/>
    <col min="6" max="6" width="9.42578125" style="9" bestFit="1" customWidth="1"/>
    <col min="7" max="7" width="12.7109375" style="9" bestFit="1" customWidth="1"/>
    <col min="8" max="8" width="11" style="9" bestFit="1" customWidth="1"/>
    <col min="9" max="9" width="13.42578125" style="9" customWidth="1"/>
    <col min="10" max="10" width="9.140625" style="9"/>
    <col min="11" max="11" width="37.85546875" customWidth="1"/>
    <col min="12" max="12" width="11" style="41" bestFit="1" customWidth="1"/>
    <col min="13" max="13" width="12.7109375" style="9" customWidth="1"/>
  </cols>
  <sheetData>
    <row r="1" spans="1:15" x14ac:dyDescent="0.25">
      <c r="A1" s="1" t="s">
        <v>28</v>
      </c>
    </row>
    <row r="2" spans="1:15" x14ac:dyDescent="0.25">
      <c r="A2" s="1" t="s">
        <v>29</v>
      </c>
      <c r="H2" s="15"/>
    </row>
    <row r="3" spans="1:15" x14ac:dyDescent="0.25">
      <c r="A3" s="1" t="s">
        <v>30</v>
      </c>
    </row>
    <row r="5" spans="1:15" x14ac:dyDescent="0.25">
      <c r="B5" s="1"/>
      <c r="C5" s="1"/>
      <c r="D5" s="1"/>
      <c r="E5" s="1"/>
      <c r="F5" s="49" t="s">
        <v>44</v>
      </c>
      <c r="G5" s="49"/>
      <c r="H5" s="49"/>
      <c r="I5" s="49"/>
      <c r="J5" s="49"/>
      <c r="K5" s="49"/>
      <c r="L5" s="42"/>
      <c r="M5" s="12"/>
    </row>
    <row r="6" spans="1:15" x14ac:dyDescent="0.25">
      <c r="B6" s="49" t="s">
        <v>31</v>
      </c>
      <c r="C6" s="49"/>
      <c r="D6" s="49" t="s">
        <v>34</v>
      </c>
      <c r="E6" s="49"/>
      <c r="F6" s="11" t="s">
        <v>37</v>
      </c>
      <c r="G6" s="50" t="s">
        <v>38</v>
      </c>
      <c r="H6" s="50"/>
      <c r="I6" s="11" t="s">
        <v>39</v>
      </c>
      <c r="J6" s="49" t="s">
        <v>45</v>
      </c>
      <c r="K6" s="49"/>
      <c r="L6" s="43"/>
      <c r="M6" s="11" t="s">
        <v>43</v>
      </c>
    </row>
    <row r="7" spans="1:15" ht="30" x14ac:dyDescent="0.25">
      <c r="B7" s="4" t="s">
        <v>33</v>
      </c>
      <c r="C7" s="4" t="s">
        <v>32</v>
      </c>
      <c r="D7" s="4" t="s">
        <v>35</v>
      </c>
      <c r="E7" s="4" t="s">
        <v>36</v>
      </c>
      <c r="F7" s="10"/>
      <c r="G7" s="11" t="s">
        <v>49</v>
      </c>
      <c r="H7" s="11" t="s">
        <v>50</v>
      </c>
      <c r="I7" s="10"/>
      <c r="J7" s="11" t="s">
        <v>40</v>
      </c>
      <c r="K7" s="4" t="s">
        <v>58</v>
      </c>
      <c r="L7" s="44" t="s">
        <v>41</v>
      </c>
      <c r="M7" s="13" t="s">
        <v>42</v>
      </c>
    </row>
    <row r="8" spans="1:15" ht="30" x14ac:dyDescent="0.25">
      <c r="A8" s="6" t="s">
        <v>0</v>
      </c>
      <c r="B8" s="6">
        <v>14</v>
      </c>
      <c r="C8" s="6">
        <v>15</v>
      </c>
      <c r="D8" s="16">
        <v>120</v>
      </c>
      <c r="E8" s="16">
        <f>+C8*D8</f>
        <v>1800</v>
      </c>
      <c r="F8" s="16">
        <v>0</v>
      </c>
      <c r="G8" s="16">
        <v>4</v>
      </c>
      <c r="H8" s="16">
        <f t="shared" ref="H8" si="0">+C8*G8</f>
        <v>60</v>
      </c>
      <c r="I8" s="16">
        <v>30</v>
      </c>
      <c r="J8" s="16">
        <f>6*C8+6*C8</f>
        <v>180</v>
      </c>
      <c r="K8" s="17" t="s">
        <v>54</v>
      </c>
      <c r="L8" s="45">
        <f t="shared" ref="L8" si="1">+J8+F8+I8+H8+E8</f>
        <v>2070</v>
      </c>
      <c r="M8" s="16">
        <f>+L8/B8</f>
        <v>147.85714285714286</v>
      </c>
    </row>
    <row r="9" spans="1:15" ht="30" x14ac:dyDescent="0.25">
      <c r="A9" s="6" t="s">
        <v>23</v>
      </c>
      <c r="B9" s="6">
        <v>14</v>
      </c>
      <c r="C9" s="6">
        <v>14</v>
      </c>
      <c r="D9" s="16">
        <v>110</v>
      </c>
      <c r="E9" s="16">
        <f>+C9*D9</f>
        <v>1540</v>
      </c>
      <c r="F9" s="16">
        <v>0</v>
      </c>
      <c r="G9" s="16">
        <v>30</v>
      </c>
      <c r="H9" s="16">
        <f>+C9*G9</f>
        <v>420</v>
      </c>
      <c r="I9" s="16">
        <v>0</v>
      </c>
      <c r="J9" s="16">
        <f>18*C9</f>
        <v>252</v>
      </c>
      <c r="K9" s="17" t="s">
        <v>76</v>
      </c>
      <c r="L9" s="45">
        <f>+J9+F9+I9+H9+E9</f>
        <v>2212</v>
      </c>
      <c r="M9" s="16">
        <f t="shared" ref="M9:M35" si="2">+L9/B9</f>
        <v>158</v>
      </c>
    </row>
    <row r="10" spans="1:15" x14ac:dyDescent="0.25">
      <c r="A10" s="6" t="s">
        <v>1</v>
      </c>
      <c r="B10" s="6">
        <v>15</v>
      </c>
      <c r="C10" s="6">
        <v>15</v>
      </c>
      <c r="D10" s="16">
        <v>96.5</v>
      </c>
      <c r="E10" s="16">
        <f>+C10*D10</f>
        <v>1447.5</v>
      </c>
      <c r="F10" s="16">
        <f>128+64</f>
        <v>192</v>
      </c>
      <c r="G10" s="16">
        <v>14</v>
      </c>
      <c r="H10" s="16">
        <f>+C10*G10</f>
        <v>210</v>
      </c>
      <c r="I10" s="16">
        <v>0</v>
      </c>
      <c r="J10" s="16">
        <v>0</v>
      </c>
      <c r="K10" s="6"/>
      <c r="L10" s="45">
        <f>+J10+F10+I10+H10+E10</f>
        <v>1849.5</v>
      </c>
      <c r="M10" s="16">
        <f t="shared" si="2"/>
        <v>123.3</v>
      </c>
    </row>
    <row r="11" spans="1:15" x14ac:dyDescent="0.25">
      <c r="A11" s="6" t="s">
        <v>2</v>
      </c>
      <c r="B11" s="6">
        <v>15</v>
      </c>
      <c r="C11" s="6">
        <v>17</v>
      </c>
      <c r="D11" s="16">
        <v>103</v>
      </c>
      <c r="E11" s="16">
        <f t="shared" ref="E11:E35" si="3">+C11*D11</f>
        <v>1751</v>
      </c>
      <c r="F11" s="16">
        <v>15</v>
      </c>
      <c r="G11" s="16">
        <v>0</v>
      </c>
      <c r="H11" s="16">
        <f t="shared" ref="H11:H34" si="4">+C11*G11</f>
        <v>0</v>
      </c>
      <c r="I11" s="16">
        <f>25*C11</f>
        <v>425</v>
      </c>
      <c r="J11" s="16">
        <f>4*C11</f>
        <v>68</v>
      </c>
      <c r="K11" s="6" t="s">
        <v>72</v>
      </c>
      <c r="L11" s="45">
        <f t="shared" ref="L11:L35" si="5">+J11+F11+I11+H11+E11</f>
        <v>2259</v>
      </c>
      <c r="M11" s="16">
        <f t="shared" si="2"/>
        <v>150.6</v>
      </c>
    </row>
    <row r="12" spans="1:15" ht="30" x14ac:dyDescent="0.25">
      <c r="A12" s="6" t="s">
        <v>3</v>
      </c>
      <c r="B12" s="6">
        <v>14</v>
      </c>
      <c r="C12" s="6">
        <v>16</v>
      </c>
      <c r="D12" s="16">
        <v>106</v>
      </c>
      <c r="E12" s="16">
        <f t="shared" si="3"/>
        <v>1696</v>
      </c>
      <c r="F12" s="16">
        <v>50</v>
      </c>
      <c r="G12" s="40" t="s">
        <v>82</v>
      </c>
      <c r="H12" s="16">
        <f>4*14</f>
        <v>56</v>
      </c>
      <c r="I12" s="16">
        <v>10</v>
      </c>
      <c r="J12" s="16">
        <f>4*B12+2*B12+60</f>
        <v>144</v>
      </c>
      <c r="K12" s="17" t="s">
        <v>62</v>
      </c>
      <c r="L12" s="45">
        <f t="shared" si="5"/>
        <v>1956</v>
      </c>
      <c r="M12" s="16">
        <f t="shared" si="2"/>
        <v>139.71428571428572</v>
      </c>
    </row>
    <row r="13" spans="1:15" ht="30" x14ac:dyDescent="0.25">
      <c r="A13" s="6" t="s">
        <v>4</v>
      </c>
      <c r="B13" s="6">
        <v>14</v>
      </c>
      <c r="C13" s="6">
        <v>15</v>
      </c>
      <c r="D13" s="16">
        <v>108</v>
      </c>
      <c r="E13" s="16">
        <f t="shared" si="3"/>
        <v>1620</v>
      </c>
      <c r="F13" s="16">
        <v>12</v>
      </c>
      <c r="G13" s="16">
        <v>5.5</v>
      </c>
      <c r="H13" s="16">
        <f>+C13*G13</f>
        <v>82.5</v>
      </c>
      <c r="I13" s="16">
        <v>0</v>
      </c>
      <c r="J13" s="16">
        <f>10+100+37</f>
        <v>147</v>
      </c>
      <c r="K13" s="17" t="s">
        <v>59</v>
      </c>
      <c r="L13" s="45">
        <f t="shared" si="5"/>
        <v>1861.5</v>
      </c>
      <c r="M13" s="16">
        <f t="shared" si="2"/>
        <v>132.96428571428572</v>
      </c>
    </row>
    <row r="14" spans="1:15" ht="30" x14ac:dyDescent="0.25">
      <c r="A14" s="6" t="s">
        <v>14</v>
      </c>
      <c r="B14" s="6">
        <v>14</v>
      </c>
      <c r="C14" s="6">
        <v>14</v>
      </c>
      <c r="D14" s="16">
        <v>92</v>
      </c>
      <c r="E14" s="16">
        <f t="shared" si="3"/>
        <v>1288</v>
      </c>
      <c r="F14" s="16">
        <f>27+130+10+10+10</f>
        <v>187</v>
      </c>
      <c r="G14" s="16">
        <v>2</v>
      </c>
      <c r="H14" s="16">
        <f t="shared" si="4"/>
        <v>28</v>
      </c>
      <c r="I14" s="16">
        <v>46</v>
      </c>
      <c r="J14" s="16">
        <f>45+210</f>
        <v>255</v>
      </c>
      <c r="K14" s="17" t="s">
        <v>53</v>
      </c>
      <c r="L14" s="45">
        <f t="shared" si="5"/>
        <v>1804</v>
      </c>
      <c r="M14" s="16">
        <f t="shared" si="2"/>
        <v>128.85714285714286</v>
      </c>
      <c r="N14" s="18"/>
    </row>
    <row r="15" spans="1:15" x14ac:dyDescent="0.25">
      <c r="A15" s="6" t="s">
        <v>15</v>
      </c>
      <c r="B15" s="6">
        <v>15</v>
      </c>
      <c r="C15" s="6">
        <v>16</v>
      </c>
      <c r="D15" s="16">
        <v>125</v>
      </c>
      <c r="E15" s="16">
        <f t="shared" si="3"/>
        <v>2000</v>
      </c>
      <c r="F15" s="16">
        <f>57+57+21</f>
        <v>135</v>
      </c>
      <c r="G15" s="16"/>
      <c r="H15" s="16">
        <f t="shared" si="4"/>
        <v>0</v>
      </c>
      <c r="I15" s="16"/>
      <c r="J15" s="16">
        <f>190+152+114+152</f>
        <v>608</v>
      </c>
      <c r="K15" s="6"/>
      <c r="L15" s="45">
        <f t="shared" si="5"/>
        <v>2743</v>
      </c>
      <c r="M15" s="16">
        <f t="shared" si="2"/>
        <v>182.86666666666667</v>
      </c>
    </row>
    <row r="16" spans="1:15" x14ac:dyDescent="0.25">
      <c r="A16" s="6" t="s">
        <v>16</v>
      </c>
      <c r="B16" s="6">
        <v>14</v>
      </c>
      <c r="C16" s="6">
        <v>16</v>
      </c>
      <c r="D16" s="16">
        <v>95</v>
      </c>
      <c r="E16" s="16">
        <f t="shared" si="3"/>
        <v>1520</v>
      </c>
      <c r="F16" s="16">
        <v>0</v>
      </c>
      <c r="G16" s="16">
        <v>0</v>
      </c>
      <c r="H16" s="16">
        <f t="shared" si="4"/>
        <v>0</v>
      </c>
      <c r="I16" s="16">
        <v>30</v>
      </c>
      <c r="J16" s="16">
        <v>75</v>
      </c>
      <c r="K16" s="6" t="s">
        <v>61</v>
      </c>
      <c r="L16" s="45">
        <f t="shared" si="5"/>
        <v>1625</v>
      </c>
      <c r="M16" s="16">
        <f t="shared" si="2"/>
        <v>116.07142857142857</v>
      </c>
      <c r="O16" s="19"/>
    </row>
    <row r="17" spans="1:13" x14ac:dyDescent="0.25">
      <c r="A17" s="6" t="s">
        <v>5</v>
      </c>
      <c r="B17" s="6">
        <v>14</v>
      </c>
      <c r="C17" s="6">
        <v>14</v>
      </c>
      <c r="D17" s="16">
        <v>99.5</v>
      </c>
      <c r="E17" s="16">
        <f t="shared" si="3"/>
        <v>1393</v>
      </c>
      <c r="F17" s="16">
        <f>20+99.2+10+25</f>
        <v>154.19999999999999</v>
      </c>
      <c r="G17" s="16">
        <v>10</v>
      </c>
      <c r="H17" s="16">
        <f t="shared" si="4"/>
        <v>140</v>
      </c>
      <c r="I17" s="16">
        <v>0</v>
      </c>
      <c r="J17" s="16">
        <f>3*C17</f>
        <v>42</v>
      </c>
      <c r="K17" s="6" t="s">
        <v>64</v>
      </c>
      <c r="L17" s="45">
        <f t="shared" si="5"/>
        <v>1729.2</v>
      </c>
      <c r="M17" s="16">
        <f t="shared" si="2"/>
        <v>123.51428571428572</v>
      </c>
    </row>
    <row r="18" spans="1:13" ht="30" x14ac:dyDescent="0.25">
      <c r="A18" s="6" t="s">
        <v>12</v>
      </c>
      <c r="B18" s="6">
        <v>14</v>
      </c>
      <c r="C18" s="6">
        <v>15</v>
      </c>
      <c r="D18" s="16">
        <v>105</v>
      </c>
      <c r="E18" s="16">
        <f t="shared" si="3"/>
        <v>1575</v>
      </c>
      <c r="F18" s="16">
        <f>50+15+40</f>
        <v>105</v>
      </c>
      <c r="G18" s="16">
        <v>10</v>
      </c>
      <c r="H18" s="16">
        <f t="shared" si="4"/>
        <v>150</v>
      </c>
      <c r="I18" s="16">
        <v>35</v>
      </c>
      <c r="J18" s="16">
        <f>2*C18+1*C18+5*C18</f>
        <v>120</v>
      </c>
      <c r="K18" s="17" t="s">
        <v>57</v>
      </c>
      <c r="L18" s="45">
        <f t="shared" si="5"/>
        <v>1985</v>
      </c>
      <c r="M18" s="16">
        <f t="shared" si="2"/>
        <v>141.78571428571428</v>
      </c>
    </row>
    <row r="19" spans="1:13" ht="45" x14ac:dyDescent="0.25">
      <c r="A19" s="6" t="s">
        <v>24</v>
      </c>
      <c r="B19" s="6">
        <v>14</v>
      </c>
      <c r="C19" s="6">
        <v>15</v>
      </c>
      <c r="D19" s="16">
        <v>94</v>
      </c>
      <c r="E19" s="16">
        <f t="shared" si="3"/>
        <v>1410</v>
      </c>
      <c r="F19" s="16">
        <v>15</v>
      </c>
      <c r="G19" s="16">
        <v>13</v>
      </c>
      <c r="H19" s="16">
        <f t="shared" si="4"/>
        <v>195</v>
      </c>
      <c r="I19" s="16">
        <v>0</v>
      </c>
      <c r="J19" s="16">
        <f>13*C19+1*C19+14*C19+3*C19</f>
        <v>465</v>
      </c>
      <c r="K19" s="17" t="s">
        <v>73</v>
      </c>
      <c r="L19" s="45">
        <f t="shared" si="5"/>
        <v>2085</v>
      </c>
      <c r="M19" s="16">
        <f t="shared" si="2"/>
        <v>148.92857142857142</v>
      </c>
    </row>
    <row r="20" spans="1:13" x14ac:dyDescent="0.25">
      <c r="A20" s="6" t="s">
        <v>6</v>
      </c>
      <c r="B20" s="6">
        <v>16</v>
      </c>
      <c r="C20" s="6">
        <v>17</v>
      </c>
      <c r="D20" s="16">
        <v>88</v>
      </c>
      <c r="E20" s="16">
        <f t="shared" si="3"/>
        <v>1496</v>
      </c>
      <c r="F20" s="16">
        <v>35</v>
      </c>
      <c r="G20" s="16">
        <v>0</v>
      </c>
      <c r="H20" s="16">
        <f t="shared" si="4"/>
        <v>0</v>
      </c>
      <c r="I20" s="16">
        <v>25</v>
      </c>
      <c r="J20" s="16">
        <f>11*C20</f>
        <v>187</v>
      </c>
      <c r="K20" s="17" t="s">
        <v>77</v>
      </c>
      <c r="L20" s="45">
        <f t="shared" si="5"/>
        <v>1743</v>
      </c>
      <c r="M20" s="16">
        <f t="shared" si="2"/>
        <v>108.9375</v>
      </c>
    </row>
    <row r="21" spans="1:13" x14ac:dyDescent="0.25">
      <c r="A21" s="6" t="s">
        <v>17</v>
      </c>
      <c r="B21" s="6">
        <v>15</v>
      </c>
      <c r="C21" s="6">
        <v>15</v>
      </c>
      <c r="D21" s="16">
        <v>94</v>
      </c>
      <c r="E21" s="16">
        <f t="shared" si="3"/>
        <v>1410</v>
      </c>
      <c r="F21" s="16">
        <v>111</v>
      </c>
      <c r="G21" s="16">
        <v>5</v>
      </c>
      <c r="H21" s="16">
        <f t="shared" si="4"/>
        <v>75</v>
      </c>
      <c r="I21" s="16">
        <v>40</v>
      </c>
      <c r="J21" s="16">
        <v>10</v>
      </c>
      <c r="K21" s="6" t="s">
        <v>75</v>
      </c>
      <c r="L21" s="45">
        <f t="shared" si="5"/>
        <v>1646</v>
      </c>
      <c r="M21" s="16">
        <f t="shared" si="2"/>
        <v>109.73333333333333</v>
      </c>
    </row>
    <row r="22" spans="1:13" x14ac:dyDescent="0.25">
      <c r="A22" s="6" t="s">
        <v>20</v>
      </c>
      <c r="B22" s="6">
        <v>13</v>
      </c>
      <c r="C22" s="6">
        <v>14</v>
      </c>
      <c r="D22" s="16">
        <v>104</v>
      </c>
      <c r="E22" s="16">
        <f t="shared" si="3"/>
        <v>1456</v>
      </c>
      <c r="F22" s="16">
        <v>45</v>
      </c>
      <c r="G22" s="16">
        <v>10</v>
      </c>
      <c r="H22" s="16">
        <f t="shared" si="4"/>
        <v>140</v>
      </c>
      <c r="I22" s="16">
        <v>50</v>
      </c>
      <c r="J22" s="16">
        <v>30</v>
      </c>
      <c r="K22" s="6" t="s">
        <v>52</v>
      </c>
      <c r="L22" s="45">
        <f t="shared" si="5"/>
        <v>1721</v>
      </c>
      <c r="M22" s="16">
        <f t="shared" si="2"/>
        <v>132.38461538461539</v>
      </c>
    </row>
    <row r="23" spans="1:13" x14ac:dyDescent="0.25">
      <c r="A23" s="6" t="s">
        <v>13</v>
      </c>
      <c r="B23" s="6">
        <v>13</v>
      </c>
      <c r="C23" s="6">
        <v>15</v>
      </c>
      <c r="D23" s="16">
        <v>102</v>
      </c>
      <c r="E23" s="16">
        <f t="shared" si="3"/>
        <v>1530</v>
      </c>
      <c r="F23" s="16">
        <v>95</v>
      </c>
      <c r="G23" s="16">
        <v>20</v>
      </c>
      <c r="H23" s="16">
        <f t="shared" si="4"/>
        <v>300</v>
      </c>
      <c r="I23" s="16">
        <v>35</v>
      </c>
      <c r="J23" s="16"/>
      <c r="K23" s="14"/>
      <c r="L23" s="45">
        <f t="shared" si="5"/>
        <v>1960</v>
      </c>
      <c r="M23" s="16">
        <f t="shared" si="2"/>
        <v>150.76923076923077</v>
      </c>
    </row>
    <row r="24" spans="1:13" x14ac:dyDescent="0.25">
      <c r="A24" s="6" t="s">
        <v>7</v>
      </c>
      <c r="B24" s="6">
        <v>14</v>
      </c>
      <c r="C24" s="6">
        <v>16</v>
      </c>
      <c r="D24" s="16">
        <v>100</v>
      </c>
      <c r="E24" s="16">
        <f t="shared" si="3"/>
        <v>1600</v>
      </c>
      <c r="F24" s="16">
        <v>40</v>
      </c>
      <c r="G24" s="16">
        <v>0</v>
      </c>
      <c r="H24" s="16">
        <f t="shared" si="4"/>
        <v>0</v>
      </c>
      <c r="I24" s="16">
        <v>0</v>
      </c>
      <c r="J24" s="16">
        <f>+C24*18</f>
        <v>288</v>
      </c>
      <c r="K24" s="17" t="s">
        <v>55</v>
      </c>
      <c r="L24" s="45">
        <f t="shared" si="5"/>
        <v>1928</v>
      </c>
      <c r="M24" s="16">
        <f t="shared" si="2"/>
        <v>137.71428571428572</v>
      </c>
    </row>
    <row r="25" spans="1:13" ht="45" x14ac:dyDescent="0.25">
      <c r="A25" s="6" t="s">
        <v>25</v>
      </c>
      <c r="B25" s="6">
        <v>12</v>
      </c>
      <c r="C25" s="6">
        <v>14</v>
      </c>
      <c r="D25" s="16">
        <v>126.3</v>
      </c>
      <c r="E25" s="16">
        <f t="shared" si="3"/>
        <v>1768.2</v>
      </c>
      <c r="F25" s="16">
        <v>0</v>
      </c>
      <c r="G25" s="16">
        <v>7.24</v>
      </c>
      <c r="H25" s="16">
        <f t="shared" si="4"/>
        <v>101.36</v>
      </c>
      <c r="I25" s="16">
        <v>105.98</v>
      </c>
      <c r="J25" s="16">
        <f>5.08+15.24+8.76*C25</f>
        <v>142.96</v>
      </c>
      <c r="K25" s="17" t="s">
        <v>74</v>
      </c>
      <c r="L25" s="45">
        <f t="shared" si="5"/>
        <v>2118.5</v>
      </c>
      <c r="M25" s="16">
        <f t="shared" si="2"/>
        <v>176.54166666666666</v>
      </c>
    </row>
    <row r="26" spans="1:13" x14ac:dyDescent="0.25">
      <c r="A26" s="6" t="s">
        <v>26</v>
      </c>
      <c r="B26" s="6">
        <v>14</v>
      </c>
      <c r="C26" s="6">
        <v>18</v>
      </c>
      <c r="D26" s="16">
        <v>99</v>
      </c>
      <c r="E26" s="16">
        <f t="shared" si="3"/>
        <v>1782</v>
      </c>
      <c r="F26" s="16">
        <f>96+7</f>
        <v>103</v>
      </c>
      <c r="G26" s="16">
        <v>20</v>
      </c>
      <c r="H26" s="16">
        <f t="shared" si="4"/>
        <v>360</v>
      </c>
      <c r="I26" s="16">
        <v>35</v>
      </c>
      <c r="J26" s="16">
        <f>5*C26</f>
        <v>90</v>
      </c>
      <c r="K26" s="6" t="s">
        <v>79</v>
      </c>
      <c r="L26" s="45">
        <f t="shared" si="5"/>
        <v>2370</v>
      </c>
      <c r="M26" s="16">
        <f t="shared" si="2"/>
        <v>169.28571428571428</v>
      </c>
    </row>
    <row r="27" spans="1:13" ht="60" x14ac:dyDescent="0.25">
      <c r="A27" s="6" t="s">
        <v>8</v>
      </c>
      <c r="B27" s="6">
        <v>14</v>
      </c>
      <c r="C27" s="6">
        <v>15</v>
      </c>
      <c r="D27" s="16">
        <v>102.75</v>
      </c>
      <c r="E27" s="16">
        <f t="shared" si="3"/>
        <v>1541.25</v>
      </c>
      <c r="F27" s="16">
        <f>39+5+5+5</f>
        <v>54</v>
      </c>
      <c r="G27" s="16">
        <v>4</v>
      </c>
      <c r="H27" s="16">
        <f t="shared" si="4"/>
        <v>60</v>
      </c>
      <c r="I27" s="16">
        <f>3.5*C27</f>
        <v>52.5</v>
      </c>
      <c r="J27" s="16">
        <f>1.5*C27+10*C27+1*C27+25</f>
        <v>212.5</v>
      </c>
      <c r="K27" s="17" t="s">
        <v>60</v>
      </c>
      <c r="L27" s="45">
        <f t="shared" si="5"/>
        <v>1920.25</v>
      </c>
      <c r="M27" s="16">
        <f t="shared" si="2"/>
        <v>137.16071428571428</v>
      </c>
    </row>
    <row r="28" spans="1:13" ht="30" x14ac:dyDescent="0.25">
      <c r="A28" s="6" t="s">
        <v>22</v>
      </c>
      <c r="B28" s="6">
        <v>15</v>
      </c>
      <c r="C28" s="6">
        <v>16</v>
      </c>
      <c r="D28" s="16">
        <v>96.35</v>
      </c>
      <c r="E28" s="16">
        <f t="shared" si="3"/>
        <v>1541.6</v>
      </c>
      <c r="F28" s="16">
        <v>84</v>
      </c>
      <c r="G28" s="16">
        <v>8.25</v>
      </c>
      <c r="H28" s="16">
        <f t="shared" si="4"/>
        <v>132</v>
      </c>
      <c r="I28" s="16">
        <v>25.8</v>
      </c>
      <c r="J28" s="16">
        <f>24+11.3*C28</f>
        <v>204.8</v>
      </c>
      <c r="K28" s="17" t="s">
        <v>56</v>
      </c>
      <c r="L28" s="45">
        <f t="shared" si="5"/>
        <v>1988.1999999999998</v>
      </c>
      <c r="M28" s="16">
        <f t="shared" si="2"/>
        <v>132.54666666666665</v>
      </c>
    </row>
    <row r="29" spans="1:13" x14ac:dyDescent="0.25">
      <c r="A29" s="6" t="s">
        <v>18</v>
      </c>
      <c r="B29" s="6">
        <v>14</v>
      </c>
      <c r="C29" s="6">
        <v>14</v>
      </c>
      <c r="D29" s="16">
        <v>88</v>
      </c>
      <c r="E29" s="16">
        <f t="shared" si="3"/>
        <v>1232</v>
      </c>
      <c r="F29" s="16">
        <v>45</v>
      </c>
      <c r="G29" s="16">
        <v>0</v>
      </c>
      <c r="H29" s="16">
        <v>10</v>
      </c>
      <c r="I29" s="16">
        <v>25</v>
      </c>
      <c r="J29" s="16">
        <v>0</v>
      </c>
      <c r="K29" s="6"/>
      <c r="L29" s="45">
        <f t="shared" si="5"/>
        <v>1312</v>
      </c>
      <c r="M29" s="16">
        <f t="shared" si="2"/>
        <v>93.714285714285708</v>
      </c>
    </row>
    <row r="30" spans="1:13" ht="30" x14ac:dyDescent="0.25">
      <c r="A30" s="6" t="s">
        <v>21</v>
      </c>
      <c r="B30" s="6">
        <v>15</v>
      </c>
      <c r="C30" s="6">
        <v>15</v>
      </c>
      <c r="D30" s="16">
        <v>96</v>
      </c>
      <c r="E30" s="16">
        <f t="shared" si="3"/>
        <v>1440</v>
      </c>
      <c r="F30" s="16">
        <v>348</v>
      </c>
      <c r="G30" s="16">
        <v>0</v>
      </c>
      <c r="H30" s="16">
        <f t="shared" si="4"/>
        <v>0</v>
      </c>
      <c r="I30" s="16">
        <v>42</v>
      </c>
      <c r="J30" s="16">
        <f>8*C30+6*C30+6*C30</f>
        <v>300</v>
      </c>
      <c r="K30" s="17" t="s">
        <v>63</v>
      </c>
      <c r="L30" s="45">
        <f t="shared" si="5"/>
        <v>2130</v>
      </c>
      <c r="M30" s="16">
        <f t="shared" si="2"/>
        <v>142</v>
      </c>
    </row>
    <row r="31" spans="1:13" x14ac:dyDescent="0.25">
      <c r="A31" s="6" t="s">
        <v>9</v>
      </c>
      <c r="B31" s="6">
        <v>14</v>
      </c>
      <c r="C31" s="6">
        <v>16</v>
      </c>
      <c r="D31" s="16">
        <v>113</v>
      </c>
      <c r="E31" s="16">
        <f t="shared" si="3"/>
        <v>1808</v>
      </c>
      <c r="F31" s="16">
        <v>0</v>
      </c>
      <c r="G31" s="16">
        <v>27</v>
      </c>
      <c r="H31" s="16">
        <f t="shared" si="4"/>
        <v>432</v>
      </c>
      <c r="I31" s="16">
        <f>18.75*C31</f>
        <v>300</v>
      </c>
      <c r="J31" s="16">
        <v>0</v>
      </c>
      <c r="K31" s="6"/>
      <c r="L31" s="45">
        <f t="shared" si="5"/>
        <v>2540</v>
      </c>
      <c r="M31" s="16">
        <f t="shared" si="2"/>
        <v>181.42857142857142</v>
      </c>
    </row>
    <row r="32" spans="1:13" x14ac:dyDescent="0.25">
      <c r="A32" s="6" t="s">
        <v>10</v>
      </c>
      <c r="B32" s="6">
        <v>14</v>
      </c>
      <c r="C32" s="6">
        <v>16</v>
      </c>
      <c r="D32" s="16">
        <v>102</v>
      </c>
      <c r="E32" s="16">
        <f t="shared" si="3"/>
        <v>1632</v>
      </c>
      <c r="F32" s="16">
        <v>30</v>
      </c>
      <c r="G32" s="16">
        <v>13</v>
      </c>
      <c r="H32" s="16">
        <f t="shared" si="4"/>
        <v>208</v>
      </c>
      <c r="I32" s="16">
        <v>75</v>
      </c>
      <c r="J32" s="16">
        <v>0</v>
      </c>
      <c r="K32" s="6"/>
      <c r="L32" s="45">
        <f t="shared" si="5"/>
        <v>1945</v>
      </c>
      <c r="M32" s="16">
        <f t="shared" si="2"/>
        <v>138.92857142857142</v>
      </c>
    </row>
    <row r="33" spans="1:13" x14ac:dyDescent="0.25">
      <c r="A33" s="6" t="s">
        <v>19</v>
      </c>
      <c r="B33" s="6">
        <v>15</v>
      </c>
      <c r="C33" s="6">
        <v>15</v>
      </c>
      <c r="D33" s="16">
        <v>94</v>
      </c>
      <c r="E33" s="16">
        <f t="shared" si="3"/>
        <v>1410</v>
      </c>
      <c r="F33" s="16">
        <v>150</v>
      </c>
      <c r="G33" s="16">
        <v>7</v>
      </c>
      <c r="H33" s="16">
        <f t="shared" si="4"/>
        <v>105</v>
      </c>
      <c r="I33" s="16">
        <v>0</v>
      </c>
      <c r="J33" s="16">
        <v>0</v>
      </c>
      <c r="K33" s="6"/>
      <c r="L33" s="45">
        <f t="shared" si="5"/>
        <v>1665</v>
      </c>
      <c r="M33" s="16">
        <f t="shared" si="2"/>
        <v>111</v>
      </c>
    </row>
    <row r="34" spans="1:13" x14ac:dyDescent="0.25">
      <c r="A34" s="6" t="s">
        <v>27</v>
      </c>
      <c r="B34" s="6">
        <v>13</v>
      </c>
      <c r="C34" s="6">
        <v>13</v>
      </c>
      <c r="D34" s="16">
        <v>105</v>
      </c>
      <c r="E34" s="16">
        <f t="shared" si="3"/>
        <v>1365</v>
      </c>
      <c r="F34" s="16">
        <v>75</v>
      </c>
      <c r="G34" s="16">
        <v>5</v>
      </c>
      <c r="H34" s="16">
        <f t="shared" si="4"/>
        <v>65</v>
      </c>
      <c r="I34" s="16">
        <v>50</v>
      </c>
      <c r="J34" s="16">
        <f>2*C34</f>
        <v>26</v>
      </c>
      <c r="K34" s="6" t="s">
        <v>78</v>
      </c>
      <c r="L34" s="45">
        <f t="shared" si="5"/>
        <v>1581</v>
      </c>
      <c r="M34" s="16">
        <f t="shared" si="2"/>
        <v>121.61538461538461</v>
      </c>
    </row>
    <row r="35" spans="1:13" ht="30" x14ac:dyDescent="0.25">
      <c r="A35" s="6" t="s">
        <v>11</v>
      </c>
      <c r="B35" s="6">
        <v>14</v>
      </c>
      <c r="C35" s="6">
        <v>15</v>
      </c>
      <c r="D35" s="16">
        <v>91</v>
      </c>
      <c r="E35" s="16">
        <f t="shared" si="3"/>
        <v>1365</v>
      </c>
      <c r="F35" s="16">
        <v>20</v>
      </c>
      <c r="G35" s="16">
        <v>0</v>
      </c>
      <c r="H35" s="16">
        <v>98</v>
      </c>
      <c r="I35" s="16">
        <v>7</v>
      </c>
      <c r="J35" s="16">
        <v>56</v>
      </c>
      <c r="K35" s="17" t="s">
        <v>51</v>
      </c>
      <c r="L35" s="45">
        <f t="shared" si="5"/>
        <v>1546</v>
      </c>
      <c r="M35" s="16">
        <f t="shared" si="2"/>
        <v>110.42857142857143</v>
      </c>
    </row>
    <row r="36" spans="1:13" x14ac:dyDescent="0.25">
      <c r="A36" s="5"/>
      <c r="B36" s="5"/>
      <c r="C36" s="5"/>
      <c r="D36" s="8"/>
      <c r="E36" s="8"/>
      <c r="F36" s="8"/>
      <c r="G36" s="8"/>
      <c r="H36" s="8"/>
      <c r="I36" s="8"/>
      <c r="J36" s="8"/>
      <c r="K36" s="5"/>
      <c r="L36" s="46"/>
      <c r="M36" s="8"/>
    </row>
    <row r="37" spans="1:13" x14ac:dyDescent="0.25">
      <c r="A37" s="7" t="s">
        <v>46</v>
      </c>
      <c r="B37" s="5"/>
      <c r="C37" s="5"/>
      <c r="D37" s="10">
        <f>AVERAGE(D8:D35)</f>
        <v>101.97857142857143</v>
      </c>
      <c r="E37" s="10">
        <f>AVERAGE(E8:E35)</f>
        <v>1550.6267857142859</v>
      </c>
      <c r="F37" s="10"/>
      <c r="G37" s="10"/>
      <c r="H37" s="10"/>
      <c r="I37" s="10"/>
      <c r="J37" s="10"/>
      <c r="K37" s="3"/>
      <c r="L37" s="47">
        <f>AVERAGE(L8:L35)</f>
        <v>1939.0410714285713</v>
      </c>
      <c r="M37" s="10">
        <f>AVERAGE(M8:M35)</f>
        <v>137.45173698325485</v>
      </c>
    </row>
    <row r="38" spans="1:13" x14ac:dyDescent="0.25">
      <c r="A38" s="7" t="s">
        <v>47</v>
      </c>
      <c r="B38" s="5"/>
      <c r="C38" s="5"/>
      <c r="D38" s="10">
        <f>MAX(D8:D35)</f>
        <v>126.3</v>
      </c>
      <c r="E38" s="10">
        <f>MAX(E8:E35)</f>
        <v>2000</v>
      </c>
      <c r="F38" s="10"/>
      <c r="G38" s="10"/>
      <c r="H38" s="10"/>
      <c r="I38" s="10"/>
      <c r="J38" s="10"/>
      <c r="K38" s="3"/>
      <c r="L38" s="47">
        <f>MAX(L8:L35)</f>
        <v>2743</v>
      </c>
      <c r="M38" s="10">
        <f>MAX(M8:M35)</f>
        <v>182.86666666666667</v>
      </c>
    </row>
    <row r="39" spans="1:13" x14ac:dyDescent="0.25">
      <c r="A39" s="7" t="s">
        <v>48</v>
      </c>
      <c r="B39" s="5"/>
      <c r="C39" s="5"/>
      <c r="D39" s="10">
        <f>MIN(D8:D35)</f>
        <v>88</v>
      </c>
      <c r="E39" s="10">
        <f>MIN(E8:E35)</f>
        <v>1232</v>
      </c>
      <c r="F39" s="10"/>
      <c r="G39" s="10"/>
      <c r="H39" s="10"/>
      <c r="I39" s="10"/>
      <c r="J39" s="10"/>
      <c r="K39" s="3"/>
      <c r="L39" s="47">
        <f>MIN(L8:L35)</f>
        <v>1312</v>
      </c>
      <c r="M39" s="10">
        <f>MIN(M8:M35)</f>
        <v>93.714285714285708</v>
      </c>
    </row>
  </sheetData>
  <sortState ref="A1:B28">
    <sortCondition ref="A1:A28"/>
  </sortState>
  <mergeCells count="5">
    <mergeCell ref="B6:C6"/>
    <mergeCell ref="D6:E6"/>
    <mergeCell ref="G6:H6"/>
    <mergeCell ref="F5:K5"/>
    <mergeCell ref="J6:K6"/>
  </mergeCells>
  <pageMargins left="0.17" right="0.17" top="0.28999999999999998" bottom="0.33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7" workbookViewId="0">
      <selection activeCell="I9" sqref="I9"/>
    </sheetView>
  </sheetViews>
  <sheetFormatPr defaultRowHeight="15" x14ac:dyDescent="0.25"/>
  <cols>
    <col min="1" max="1" width="5.28515625" customWidth="1"/>
    <col min="2" max="2" width="35.28515625" bestFit="1" customWidth="1"/>
    <col min="3" max="3" width="11.7109375" bestFit="1" customWidth="1"/>
    <col min="4" max="4" width="11.28515625" bestFit="1" customWidth="1"/>
    <col min="5" max="5" width="10.85546875" customWidth="1"/>
    <col min="6" max="6" width="13" customWidth="1"/>
    <col min="7" max="7" width="12.85546875" customWidth="1"/>
    <col min="8" max="8" width="10.42578125" bestFit="1" customWidth="1"/>
    <col min="9" max="9" width="11" customWidth="1"/>
  </cols>
  <sheetData>
    <row r="1" spans="1:12" ht="33.75" x14ac:dyDescent="0.5">
      <c r="A1" s="51" t="s">
        <v>80</v>
      </c>
      <c r="B1" s="51"/>
      <c r="C1" s="51"/>
      <c r="D1" s="51"/>
      <c r="E1" s="51"/>
      <c r="F1" s="51"/>
      <c r="G1" s="51"/>
      <c r="H1" s="51"/>
      <c r="I1" s="51"/>
    </row>
    <row r="2" spans="1:12" ht="18.75" x14ac:dyDescent="0.3">
      <c r="A2" s="52" t="s">
        <v>81</v>
      </c>
      <c r="B2" s="52"/>
      <c r="C2" s="52"/>
      <c r="D2" s="52"/>
      <c r="E2" s="52"/>
      <c r="F2" s="52"/>
      <c r="G2" s="52"/>
      <c r="H2" s="52"/>
      <c r="I2" s="52"/>
    </row>
    <row r="3" spans="1:12" ht="18.75" x14ac:dyDescent="0.3">
      <c r="A3" s="52" t="s">
        <v>71</v>
      </c>
      <c r="B3" s="52"/>
      <c r="C3" s="52"/>
      <c r="D3" s="52"/>
      <c r="E3" s="52"/>
      <c r="F3" s="52"/>
      <c r="G3" s="52"/>
      <c r="H3" s="52"/>
      <c r="I3" s="52"/>
    </row>
    <row r="5" spans="1:12" ht="15.75" thickBot="1" x14ac:dyDescent="0.3"/>
    <row r="6" spans="1:12" ht="15.75" thickBot="1" x14ac:dyDescent="0.3">
      <c r="F6" s="20" t="s">
        <v>71</v>
      </c>
      <c r="G6" s="20" t="s">
        <v>70</v>
      </c>
    </row>
    <row r="7" spans="1:12" ht="30.75" thickBot="1" x14ac:dyDescent="0.3">
      <c r="C7" s="20" t="s">
        <v>65</v>
      </c>
      <c r="D7" s="20" t="s">
        <v>66</v>
      </c>
      <c r="E7" s="20" t="s">
        <v>33</v>
      </c>
      <c r="F7" s="21" t="s">
        <v>67</v>
      </c>
      <c r="G7" s="21" t="s">
        <v>67</v>
      </c>
      <c r="H7" s="20" t="s">
        <v>68</v>
      </c>
      <c r="I7" s="21" t="s">
        <v>69</v>
      </c>
      <c r="J7" s="2"/>
    </row>
    <row r="8" spans="1:12" x14ac:dyDescent="0.25">
      <c r="A8">
        <v>1</v>
      </c>
      <c r="B8" s="22" t="s">
        <v>0</v>
      </c>
      <c r="C8" s="35">
        <f>+Sheet1!D8</f>
        <v>120</v>
      </c>
      <c r="D8" s="35">
        <f>+Sheet1!L8</f>
        <v>2070</v>
      </c>
      <c r="E8">
        <f>+Sheet1!B8</f>
        <v>14</v>
      </c>
      <c r="F8" s="35">
        <f>+Sheet1!M8</f>
        <v>147.85714285714286</v>
      </c>
      <c r="G8" s="35">
        <v>142.5</v>
      </c>
      <c r="H8" s="34">
        <f>+(F8-G8)/G8</f>
        <v>3.7593984962406041E-2</v>
      </c>
      <c r="I8" s="36">
        <f>+Sheet1!L8/Sheet1!E8</f>
        <v>1.1499999999999999</v>
      </c>
      <c r="K8" s="33"/>
      <c r="L8" s="34"/>
    </row>
    <row r="9" spans="1:12" x14ac:dyDescent="0.25">
      <c r="A9">
        <v>2</v>
      </c>
      <c r="B9" s="22" t="s">
        <v>23</v>
      </c>
      <c r="C9" s="35">
        <f>+Sheet1!D9</f>
        <v>110</v>
      </c>
      <c r="D9" s="35">
        <f>+Sheet1!L9</f>
        <v>2212</v>
      </c>
      <c r="E9">
        <f>+Sheet1!B9</f>
        <v>14</v>
      </c>
      <c r="F9" s="35">
        <f>+Sheet1!M9</f>
        <v>158</v>
      </c>
      <c r="G9" s="35">
        <v>151.07</v>
      </c>
      <c r="H9" s="34">
        <f t="shared" ref="H9:H35" si="0">+(F9-G9)/G9</f>
        <v>4.5872774210630879E-2</v>
      </c>
      <c r="I9" s="36">
        <f>+Sheet1!L9/Sheet1!E9</f>
        <v>1.4363636363636363</v>
      </c>
      <c r="L9" s="34"/>
    </row>
    <row r="10" spans="1:12" x14ac:dyDescent="0.25">
      <c r="A10">
        <v>3</v>
      </c>
      <c r="B10" s="22" t="s">
        <v>1</v>
      </c>
      <c r="C10" s="35">
        <f>+Sheet1!D10</f>
        <v>96.5</v>
      </c>
      <c r="D10" s="35">
        <f>+Sheet1!L10</f>
        <v>1849.5</v>
      </c>
      <c r="E10">
        <f>+Sheet1!B10</f>
        <v>15</v>
      </c>
      <c r="F10" s="35">
        <f>+Sheet1!M10</f>
        <v>123.3</v>
      </c>
      <c r="G10" s="35">
        <v>122.63</v>
      </c>
      <c r="H10" s="34">
        <f t="shared" si="0"/>
        <v>5.4635896599527171E-3</v>
      </c>
      <c r="I10" s="36">
        <f>+Sheet1!L10/Sheet1!E10</f>
        <v>1.277720207253886</v>
      </c>
    </row>
    <row r="11" spans="1:12" x14ac:dyDescent="0.25">
      <c r="A11">
        <v>4</v>
      </c>
      <c r="B11" s="22" t="s">
        <v>2</v>
      </c>
      <c r="C11" s="35">
        <f>+Sheet1!D11</f>
        <v>103</v>
      </c>
      <c r="D11" s="35">
        <f>+Sheet1!L11</f>
        <v>2259</v>
      </c>
      <c r="E11">
        <f>+Sheet1!B11</f>
        <v>15</v>
      </c>
      <c r="F11" s="35">
        <f>+Sheet1!M11</f>
        <v>150.6</v>
      </c>
      <c r="G11" s="35">
        <v>133.13</v>
      </c>
      <c r="H11" s="34">
        <f t="shared" si="0"/>
        <v>0.13122511830541575</v>
      </c>
      <c r="I11" s="36">
        <f>+Sheet1!L11/Sheet1!E11</f>
        <v>1.2901199314677327</v>
      </c>
    </row>
    <row r="12" spans="1:12" x14ac:dyDescent="0.25">
      <c r="A12">
        <v>5</v>
      </c>
      <c r="B12" s="22" t="s">
        <v>3</v>
      </c>
      <c r="C12" s="35">
        <f>+Sheet1!D12</f>
        <v>106</v>
      </c>
      <c r="D12" s="35">
        <f>+Sheet1!L12</f>
        <v>1956</v>
      </c>
      <c r="E12">
        <f>+Sheet1!B12</f>
        <v>14</v>
      </c>
      <c r="F12" s="35">
        <f>+Sheet1!M12</f>
        <v>139.71428571428572</v>
      </c>
      <c r="G12" s="35">
        <v>131.6</v>
      </c>
      <c r="H12" s="34">
        <f t="shared" si="0"/>
        <v>6.1658706035605838E-2</v>
      </c>
      <c r="I12" s="36">
        <f>+Sheet1!L12/Sheet1!E12</f>
        <v>1.1533018867924529</v>
      </c>
    </row>
    <row r="13" spans="1:12" x14ac:dyDescent="0.25">
      <c r="A13">
        <v>6</v>
      </c>
      <c r="B13" s="22" t="s">
        <v>4</v>
      </c>
      <c r="C13" s="35">
        <f>+Sheet1!D13</f>
        <v>108</v>
      </c>
      <c r="D13" s="35">
        <f>+Sheet1!L13</f>
        <v>1861.5</v>
      </c>
      <c r="E13">
        <f>+Sheet1!B13</f>
        <v>14</v>
      </c>
      <c r="F13" s="35">
        <f>+Sheet1!M13</f>
        <v>132.96428571428572</v>
      </c>
      <c r="G13" s="35">
        <v>131.18</v>
      </c>
      <c r="H13" s="34">
        <f t="shared" si="0"/>
        <v>1.3601812122928155E-2</v>
      </c>
      <c r="I13" s="36">
        <f>+Sheet1!L13/Sheet1!E13</f>
        <v>1.1490740740740741</v>
      </c>
    </row>
    <row r="14" spans="1:12" x14ac:dyDescent="0.25">
      <c r="A14">
        <v>7</v>
      </c>
      <c r="B14" s="22" t="s">
        <v>14</v>
      </c>
      <c r="C14" s="35">
        <f>+Sheet1!D14</f>
        <v>92</v>
      </c>
      <c r="D14" s="35">
        <f>+Sheet1!L14</f>
        <v>1804</v>
      </c>
      <c r="E14">
        <f>+Sheet1!B14</f>
        <v>14</v>
      </c>
      <c r="F14" s="35">
        <f>+Sheet1!M14</f>
        <v>128.85714285714286</v>
      </c>
      <c r="G14" s="35">
        <v>123.14</v>
      </c>
      <c r="H14" s="34">
        <f t="shared" si="0"/>
        <v>4.642799136870928E-2</v>
      </c>
      <c r="I14" s="36">
        <f>+Sheet1!L14/Sheet1!E14</f>
        <v>1.4006211180124224</v>
      </c>
    </row>
    <row r="15" spans="1:12" x14ac:dyDescent="0.25">
      <c r="A15">
        <v>8</v>
      </c>
      <c r="B15" s="22" t="s">
        <v>15</v>
      </c>
      <c r="C15" s="35">
        <f>+Sheet1!D15</f>
        <v>125</v>
      </c>
      <c r="D15" s="35">
        <f>+Sheet1!L15</f>
        <v>2743</v>
      </c>
      <c r="E15">
        <f>+Sheet1!B15</f>
        <v>15</v>
      </c>
      <c r="F15" s="35">
        <f>+Sheet1!M15</f>
        <v>182.86666666666667</v>
      </c>
      <c r="G15" s="35">
        <v>171.13</v>
      </c>
      <c r="H15" s="34">
        <f t="shared" si="0"/>
        <v>6.8583338202925725E-2</v>
      </c>
      <c r="I15" s="36">
        <f>+Sheet1!L15/Sheet1!E15</f>
        <v>1.3714999999999999</v>
      </c>
    </row>
    <row r="16" spans="1:12" x14ac:dyDescent="0.25">
      <c r="A16">
        <v>9</v>
      </c>
      <c r="B16" s="22" t="s">
        <v>16</v>
      </c>
      <c r="C16" s="35">
        <f>+Sheet1!D16</f>
        <v>95</v>
      </c>
      <c r="D16" s="35">
        <f>+Sheet1!L16</f>
        <v>1625</v>
      </c>
      <c r="E16">
        <f>+Sheet1!B16</f>
        <v>14</v>
      </c>
      <c r="F16" s="35">
        <f>+Sheet1!M16</f>
        <v>116.07142857142857</v>
      </c>
      <c r="G16" s="35">
        <v>106.14</v>
      </c>
      <c r="H16" s="34">
        <f t="shared" si="0"/>
        <v>9.3569140488303837E-2</v>
      </c>
      <c r="I16" s="36">
        <f>+Sheet1!L16/Sheet1!E16</f>
        <v>1.069078947368421</v>
      </c>
    </row>
    <row r="17" spans="1:9" x14ac:dyDescent="0.25">
      <c r="A17">
        <v>10</v>
      </c>
      <c r="B17" s="22" t="s">
        <v>5</v>
      </c>
      <c r="C17" s="35">
        <f>+Sheet1!D17</f>
        <v>99.5</v>
      </c>
      <c r="D17" s="35">
        <f>+Sheet1!L17</f>
        <v>1729.2</v>
      </c>
      <c r="E17">
        <f>+Sheet1!B17</f>
        <v>14</v>
      </c>
      <c r="F17" s="35">
        <f>+Sheet1!M17</f>
        <v>123.51428571428572</v>
      </c>
      <c r="G17" s="35">
        <v>118.5</v>
      </c>
      <c r="H17" s="34">
        <f t="shared" si="0"/>
        <v>4.2314647377938559E-2</v>
      </c>
      <c r="I17" s="36">
        <f>+Sheet1!L17/Sheet1!E17</f>
        <v>1.2413496051687007</v>
      </c>
    </row>
    <row r="18" spans="1:9" x14ac:dyDescent="0.25">
      <c r="A18">
        <v>11</v>
      </c>
      <c r="B18" s="22" t="s">
        <v>12</v>
      </c>
      <c r="C18" s="35">
        <f>+Sheet1!D18</f>
        <v>105</v>
      </c>
      <c r="D18" s="35">
        <f>+Sheet1!L18</f>
        <v>1985</v>
      </c>
      <c r="E18">
        <f>+Sheet1!B18</f>
        <v>14</v>
      </c>
      <c r="F18" s="35">
        <f>+Sheet1!M18</f>
        <v>141.78571428571428</v>
      </c>
      <c r="G18" s="35">
        <v>132.68</v>
      </c>
      <c r="H18" s="34">
        <f t="shared" si="0"/>
        <v>6.8629139928506708E-2</v>
      </c>
      <c r="I18" s="36">
        <f>+Sheet1!L18/Sheet1!E18</f>
        <v>1.2603174603174603</v>
      </c>
    </row>
    <row r="19" spans="1:9" x14ac:dyDescent="0.25">
      <c r="A19">
        <v>12</v>
      </c>
      <c r="B19" s="22" t="s">
        <v>24</v>
      </c>
      <c r="C19" s="35">
        <f>+Sheet1!D19</f>
        <v>94</v>
      </c>
      <c r="D19" s="35">
        <f>+Sheet1!L19</f>
        <v>2085</v>
      </c>
      <c r="E19">
        <f>+Sheet1!B19</f>
        <v>14</v>
      </c>
      <c r="F19" s="35">
        <f>+Sheet1!M19</f>
        <v>148.92857142857142</v>
      </c>
      <c r="G19" s="35">
        <v>143.04</v>
      </c>
      <c r="H19" s="34">
        <f t="shared" si="0"/>
        <v>4.1167305848513872E-2</v>
      </c>
      <c r="I19" s="36">
        <f>+Sheet1!L19/Sheet1!E19</f>
        <v>1.4787234042553192</v>
      </c>
    </row>
    <row r="20" spans="1:9" x14ac:dyDescent="0.25">
      <c r="A20">
        <v>13</v>
      </c>
      <c r="B20" s="22" t="s">
        <v>6</v>
      </c>
      <c r="C20" s="35">
        <f>+Sheet1!D20</f>
        <v>88</v>
      </c>
      <c r="D20" s="35">
        <f>+Sheet1!L20</f>
        <v>1743</v>
      </c>
      <c r="E20">
        <f>+Sheet1!B20</f>
        <v>16</v>
      </c>
      <c r="F20" s="35">
        <f>+Sheet1!M20</f>
        <v>108.9375</v>
      </c>
      <c r="G20" s="35">
        <v>109</v>
      </c>
      <c r="H20" s="34">
        <f t="shared" si="0"/>
        <v>-5.7339449541284407E-4</v>
      </c>
      <c r="I20" s="36">
        <f>+Sheet1!L20/Sheet1!E20</f>
        <v>1.1651069518716577</v>
      </c>
    </row>
    <row r="21" spans="1:9" x14ac:dyDescent="0.25">
      <c r="A21">
        <v>14</v>
      </c>
      <c r="B21" s="22" t="s">
        <v>17</v>
      </c>
      <c r="C21" s="35">
        <f>+Sheet1!D21</f>
        <v>94</v>
      </c>
      <c r="D21" s="35">
        <f>+Sheet1!L21</f>
        <v>1646</v>
      </c>
      <c r="E21">
        <f>+Sheet1!B21</f>
        <v>15</v>
      </c>
      <c r="F21" s="35">
        <f>+Sheet1!M21</f>
        <v>109.73333333333333</v>
      </c>
      <c r="G21" s="35">
        <v>107.1</v>
      </c>
      <c r="H21" s="34">
        <f t="shared" si="0"/>
        <v>2.4587612822907005E-2</v>
      </c>
      <c r="I21" s="36">
        <f>+Sheet1!L21/Sheet1!E21</f>
        <v>1.1673758865248227</v>
      </c>
    </row>
    <row r="22" spans="1:9" x14ac:dyDescent="0.25">
      <c r="A22">
        <v>15</v>
      </c>
      <c r="B22" s="22" t="s">
        <v>20</v>
      </c>
      <c r="C22" s="35">
        <f>+Sheet1!D22</f>
        <v>104</v>
      </c>
      <c r="D22" s="35">
        <f>+Sheet1!L22</f>
        <v>1721</v>
      </c>
      <c r="E22">
        <f>+Sheet1!B22</f>
        <v>13</v>
      </c>
      <c r="F22" s="35">
        <f>+Sheet1!M22</f>
        <v>132.38461538461539</v>
      </c>
      <c r="G22" s="35">
        <v>128.38</v>
      </c>
      <c r="H22" s="34">
        <f t="shared" si="0"/>
        <v>3.119345213129297E-2</v>
      </c>
      <c r="I22" s="36">
        <f>+Sheet1!L22/Sheet1!E22</f>
        <v>1.1820054945054945</v>
      </c>
    </row>
    <row r="23" spans="1:9" x14ac:dyDescent="0.25">
      <c r="A23">
        <v>16</v>
      </c>
      <c r="B23" s="22" t="s">
        <v>13</v>
      </c>
      <c r="C23" s="35">
        <f>+Sheet1!D23</f>
        <v>102</v>
      </c>
      <c r="D23" s="35">
        <f>+Sheet1!L23</f>
        <v>1960</v>
      </c>
      <c r="E23">
        <f>+Sheet1!B23</f>
        <v>13</v>
      </c>
      <c r="F23" s="35">
        <f>+Sheet1!M23</f>
        <v>150.76923076923077</v>
      </c>
      <c r="G23" s="35">
        <v>131.91999999999999</v>
      </c>
      <c r="H23" s="34">
        <f t="shared" si="0"/>
        <v>0.14288379903904477</v>
      </c>
      <c r="I23" s="36">
        <f>+Sheet1!L23/Sheet1!E23</f>
        <v>1.2810457516339868</v>
      </c>
    </row>
    <row r="24" spans="1:9" x14ac:dyDescent="0.25">
      <c r="A24">
        <v>17</v>
      </c>
      <c r="B24" s="22" t="s">
        <v>7</v>
      </c>
      <c r="C24" s="35">
        <f>+Sheet1!D24</f>
        <v>100</v>
      </c>
      <c r="D24" s="35">
        <f>+Sheet1!L24</f>
        <v>1928</v>
      </c>
      <c r="E24">
        <f>+Sheet1!B24</f>
        <v>14</v>
      </c>
      <c r="F24" s="35">
        <f>+Sheet1!M24</f>
        <v>137.71428571428572</v>
      </c>
      <c r="G24" s="35">
        <v>128.57</v>
      </c>
      <c r="H24" s="34">
        <f t="shared" si="0"/>
        <v>7.1123012477916539E-2</v>
      </c>
      <c r="I24" s="36">
        <f>+Sheet1!L24/Sheet1!E24</f>
        <v>1.2050000000000001</v>
      </c>
    </row>
    <row r="25" spans="1:9" x14ac:dyDescent="0.25">
      <c r="A25">
        <v>18</v>
      </c>
      <c r="B25" s="22" t="s">
        <v>25</v>
      </c>
      <c r="C25" s="35">
        <f>+Sheet1!D25</f>
        <v>126.3</v>
      </c>
      <c r="D25" s="35">
        <f>+Sheet1!L25</f>
        <v>2118.5</v>
      </c>
      <c r="E25">
        <f>+Sheet1!B25</f>
        <v>12</v>
      </c>
      <c r="F25" s="35">
        <f>+Sheet1!M25</f>
        <v>176.54166666666666</v>
      </c>
      <c r="G25" s="35">
        <v>171.23</v>
      </c>
      <c r="H25" s="34">
        <f t="shared" si="0"/>
        <v>3.1020654480328608E-2</v>
      </c>
      <c r="I25" s="36">
        <f>+Sheet1!L25/Sheet1!E25</f>
        <v>1.1981110734079854</v>
      </c>
    </row>
    <row r="26" spans="1:9" x14ac:dyDescent="0.25">
      <c r="A26">
        <v>19</v>
      </c>
      <c r="B26" s="22" t="s">
        <v>26</v>
      </c>
      <c r="C26" s="35">
        <f>+Sheet1!D26</f>
        <v>99</v>
      </c>
      <c r="D26" s="35">
        <f>+Sheet1!L26</f>
        <v>2370</v>
      </c>
      <c r="E26">
        <f>+Sheet1!B26</f>
        <v>14</v>
      </c>
      <c r="F26" s="35">
        <f>+Sheet1!M26</f>
        <v>169.28571428571428</v>
      </c>
      <c r="G26" s="35">
        <v>158.54</v>
      </c>
      <c r="H26" s="34">
        <f t="shared" si="0"/>
        <v>6.7779199480978214E-2</v>
      </c>
      <c r="I26" s="36">
        <f>+Sheet1!L26/Sheet1!E26</f>
        <v>1.32996632996633</v>
      </c>
    </row>
    <row r="27" spans="1:9" x14ac:dyDescent="0.25">
      <c r="A27">
        <v>20</v>
      </c>
      <c r="B27" s="22" t="s">
        <v>8</v>
      </c>
      <c r="C27" s="35">
        <f>+Sheet1!D27</f>
        <v>102.75</v>
      </c>
      <c r="D27" s="35">
        <f>+Sheet1!L27</f>
        <v>1920.25</v>
      </c>
      <c r="E27">
        <f>+Sheet1!B27</f>
        <v>14</v>
      </c>
      <c r="F27" s="35">
        <f>+Sheet1!M27</f>
        <v>137.16071428571428</v>
      </c>
      <c r="G27" s="35">
        <v>129.93</v>
      </c>
      <c r="H27" s="34">
        <f t="shared" si="0"/>
        <v>5.5650844960473102E-2</v>
      </c>
      <c r="I27" s="36">
        <f>+Sheet1!L27/Sheet1!E27</f>
        <v>1.2459042984590429</v>
      </c>
    </row>
    <row r="28" spans="1:9" x14ac:dyDescent="0.25">
      <c r="A28">
        <v>21</v>
      </c>
      <c r="B28" s="22" t="s">
        <v>22</v>
      </c>
      <c r="C28" s="35">
        <f>+Sheet1!D28</f>
        <v>96.35</v>
      </c>
      <c r="D28" s="35">
        <f>+Sheet1!L28</f>
        <v>1988.1999999999998</v>
      </c>
      <c r="E28">
        <f>+Sheet1!B28</f>
        <v>15</v>
      </c>
      <c r="F28" s="35">
        <f>+Sheet1!M28</f>
        <v>132.54666666666665</v>
      </c>
      <c r="G28" s="35">
        <v>126.67</v>
      </c>
      <c r="H28" s="34">
        <f t="shared" si="0"/>
        <v>4.6393515960106185E-2</v>
      </c>
      <c r="I28" s="36">
        <f>+Sheet1!L28/Sheet1!E28</f>
        <v>1.2896990140114166</v>
      </c>
    </row>
    <row r="29" spans="1:9" x14ac:dyDescent="0.25">
      <c r="A29">
        <v>22</v>
      </c>
      <c r="B29" s="22" t="s">
        <v>18</v>
      </c>
      <c r="C29" s="35">
        <f>+Sheet1!D29</f>
        <v>88</v>
      </c>
      <c r="D29" s="35">
        <f>+Sheet1!L29</f>
        <v>1312</v>
      </c>
      <c r="E29">
        <f>+Sheet1!B29</f>
        <v>14</v>
      </c>
      <c r="F29" s="35">
        <f>+Sheet1!M29</f>
        <v>93.714285714285708</v>
      </c>
      <c r="G29" s="35">
        <v>87.71</v>
      </c>
      <c r="H29" s="34">
        <f t="shared" si="0"/>
        <v>6.8456113490887177E-2</v>
      </c>
      <c r="I29" s="36">
        <f>+Sheet1!L29/Sheet1!E29</f>
        <v>1.0649350649350648</v>
      </c>
    </row>
    <row r="30" spans="1:9" x14ac:dyDescent="0.25">
      <c r="A30">
        <v>23</v>
      </c>
      <c r="B30" s="22" t="s">
        <v>21</v>
      </c>
      <c r="C30" s="35">
        <f>+Sheet1!D30</f>
        <v>96</v>
      </c>
      <c r="D30" s="35">
        <f>+Sheet1!L30</f>
        <v>2130</v>
      </c>
      <c r="E30">
        <f>+Sheet1!B30</f>
        <v>15</v>
      </c>
      <c r="F30" s="35">
        <f>+Sheet1!M30</f>
        <v>142</v>
      </c>
      <c r="G30" s="35">
        <v>138.4</v>
      </c>
      <c r="H30" s="34">
        <f t="shared" si="0"/>
        <v>2.6011560693641578E-2</v>
      </c>
      <c r="I30" s="36">
        <f>+Sheet1!L30/Sheet1!E30</f>
        <v>1.4791666666666667</v>
      </c>
    </row>
    <row r="31" spans="1:9" x14ac:dyDescent="0.25">
      <c r="A31">
        <v>24</v>
      </c>
      <c r="B31" s="22" t="s">
        <v>9</v>
      </c>
      <c r="C31" s="35">
        <f>+Sheet1!D31</f>
        <v>113</v>
      </c>
      <c r="D31" s="35">
        <f>+Sheet1!L31</f>
        <v>2540</v>
      </c>
      <c r="E31">
        <f>+Sheet1!B31</f>
        <v>14</v>
      </c>
      <c r="F31" s="35">
        <f>+Sheet1!M31</f>
        <v>181.42857142857142</v>
      </c>
      <c r="G31" s="35">
        <v>175.67</v>
      </c>
      <c r="H31" s="34">
        <f t="shared" si="0"/>
        <v>3.2780619505729088E-2</v>
      </c>
      <c r="I31" s="36">
        <f>+Sheet1!L31/Sheet1!E31</f>
        <v>1.404867256637168</v>
      </c>
    </row>
    <row r="32" spans="1:9" x14ac:dyDescent="0.25">
      <c r="A32">
        <v>25</v>
      </c>
      <c r="B32" s="22" t="s">
        <v>10</v>
      </c>
      <c r="C32" s="35">
        <f>+Sheet1!D32</f>
        <v>102</v>
      </c>
      <c r="D32" s="35">
        <f>+Sheet1!L32</f>
        <v>1945</v>
      </c>
      <c r="E32">
        <f>+Sheet1!B32</f>
        <v>14</v>
      </c>
      <c r="F32" s="35">
        <f>+Sheet1!M32</f>
        <v>138.92857142857142</v>
      </c>
      <c r="G32" s="35">
        <v>132.71</v>
      </c>
      <c r="H32" s="34">
        <f t="shared" si="0"/>
        <v>4.6858348493492637E-2</v>
      </c>
      <c r="I32" s="36">
        <f>+Sheet1!L32/Sheet1!E32</f>
        <v>1.1917892156862746</v>
      </c>
    </row>
    <row r="33" spans="1:9" x14ac:dyDescent="0.25">
      <c r="A33">
        <v>26</v>
      </c>
      <c r="B33" s="22" t="s">
        <v>19</v>
      </c>
      <c r="C33" s="35">
        <f>+Sheet1!D33</f>
        <v>94</v>
      </c>
      <c r="D33" s="35">
        <f>+Sheet1!L33</f>
        <v>1665</v>
      </c>
      <c r="E33">
        <f>+Sheet1!B33</f>
        <v>15</v>
      </c>
      <c r="F33" s="35">
        <f>+Sheet1!M33</f>
        <v>111</v>
      </c>
      <c r="G33" s="35">
        <v>110</v>
      </c>
      <c r="H33" s="34">
        <f t="shared" si="0"/>
        <v>9.0909090909090905E-3</v>
      </c>
      <c r="I33" s="36">
        <f>+Sheet1!L33/Sheet1!E33</f>
        <v>1.1808510638297873</v>
      </c>
    </row>
    <row r="34" spans="1:9" x14ac:dyDescent="0.25">
      <c r="A34">
        <v>27</v>
      </c>
      <c r="B34" s="22" t="s">
        <v>27</v>
      </c>
      <c r="C34" s="35">
        <f>+Sheet1!D34</f>
        <v>105</v>
      </c>
      <c r="D34" s="35">
        <f>+Sheet1!L34</f>
        <v>1581</v>
      </c>
      <c r="E34">
        <f>+Sheet1!B34</f>
        <v>13</v>
      </c>
      <c r="F34" s="35">
        <f>+Sheet1!M34</f>
        <v>121.61538461538461</v>
      </c>
      <c r="G34" s="35">
        <v>121.62</v>
      </c>
      <c r="H34" s="34">
        <f t="shared" si="0"/>
        <v>-3.7949223938425826E-5</v>
      </c>
      <c r="I34" s="36">
        <f>+Sheet1!L34/Sheet1!E34</f>
        <v>1.1582417582417583</v>
      </c>
    </row>
    <row r="35" spans="1:9" x14ac:dyDescent="0.25">
      <c r="A35">
        <v>28</v>
      </c>
      <c r="B35" s="22" t="s">
        <v>11</v>
      </c>
      <c r="C35" s="35">
        <f>+Sheet1!D35</f>
        <v>91</v>
      </c>
      <c r="D35" s="35">
        <f>+Sheet1!L35</f>
        <v>1546</v>
      </c>
      <c r="E35">
        <f>+Sheet1!B35</f>
        <v>14</v>
      </c>
      <c r="F35" s="35">
        <f>+Sheet1!M35</f>
        <v>110.42857142857143</v>
      </c>
      <c r="G35" s="35">
        <v>107.73</v>
      </c>
      <c r="H35" s="34">
        <f t="shared" si="0"/>
        <v>2.5049395976714253E-2</v>
      </c>
      <c r="I35" s="36">
        <f>+Sheet1!L35/Sheet1!E35</f>
        <v>1.1326007326007326</v>
      </c>
    </row>
    <row r="36" spans="1:9" x14ac:dyDescent="0.25">
      <c r="B36" s="22"/>
      <c r="C36" s="19"/>
      <c r="D36" s="19"/>
      <c r="F36" s="19"/>
      <c r="G36" s="9"/>
      <c r="H36" s="34"/>
    </row>
    <row r="37" spans="1:9" x14ac:dyDescent="0.25">
      <c r="B37" s="22">
        <v>28</v>
      </c>
      <c r="C37" s="19">
        <f>SUM(C8:C35)</f>
        <v>2855.4</v>
      </c>
      <c r="D37" s="19">
        <f t="shared" ref="D37:G37" si="1">SUM(D8:D35)</f>
        <v>54293.149999999994</v>
      </c>
      <c r="E37" s="28">
        <f t="shared" si="1"/>
        <v>396</v>
      </c>
      <c r="F37" s="19">
        <f t="shared" si="1"/>
        <v>3848.6486355311358</v>
      </c>
      <c r="G37" s="19">
        <f t="shared" si="1"/>
        <v>3671.92</v>
      </c>
    </row>
    <row r="39" spans="1:9" x14ac:dyDescent="0.25">
      <c r="B39" s="37" t="s">
        <v>46</v>
      </c>
      <c r="C39" s="23">
        <f t="shared" ref="C39:F39" si="2">AVERAGE(C8:C35)</f>
        <v>101.97857142857143</v>
      </c>
      <c r="D39" s="23">
        <f t="shared" si="2"/>
        <v>1939.0410714285713</v>
      </c>
      <c r="E39" s="29">
        <f t="shared" si="2"/>
        <v>14.142857142857142</v>
      </c>
      <c r="F39" s="23">
        <f t="shared" si="2"/>
        <v>137.45173698325485</v>
      </c>
      <c r="G39" s="30">
        <f>AVERAGE(G8:G35)</f>
        <v>131.14000000000001</v>
      </c>
      <c r="H39" s="48">
        <f>AVERAGE(H8:H35)</f>
        <v>4.7656258692746693E-2</v>
      </c>
    </row>
    <row r="40" spans="1:9" x14ac:dyDescent="0.25">
      <c r="B40" s="38" t="s">
        <v>47</v>
      </c>
      <c r="C40" s="24">
        <f t="shared" ref="C40:F40" si="3">MAX(C8:C35)</f>
        <v>126.3</v>
      </c>
      <c r="D40" s="24">
        <f t="shared" si="3"/>
        <v>2743</v>
      </c>
      <c r="E40" s="24"/>
      <c r="F40" s="24">
        <f t="shared" si="3"/>
        <v>182.86666666666667</v>
      </c>
      <c r="G40" s="31">
        <f>MAX(G8:G35)</f>
        <v>175.67</v>
      </c>
      <c r="H40" s="25"/>
    </row>
    <row r="41" spans="1:9" x14ac:dyDescent="0.25">
      <c r="B41" s="39" t="s">
        <v>48</v>
      </c>
      <c r="C41" s="26">
        <f t="shared" ref="C41:F41" si="4">MIN(C8:C35)</f>
        <v>88</v>
      </c>
      <c r="D41" s="26">
        <f t="shared" si="4"/>
        <v>1312</v>
      </c>
      <c r="E41" s="26"/>
      <c r="F41" s="26">
        <f t="shared" si="4"/>
        <v>93.714285714285708</v>
      </c>
      <c r="G41" s="32">
        <f>MIN(G8:G35)</f>
        <v>87.71</v>
      </c>
      <c r="H41" s="27"/>
    </row>
  </sheetData>
  <mergeCells count="3">
    <mergeCell ref="A1:I1"/>
    <mergeCell ref="A2:I2"/>
    <mergeCell ref="A3:I3"/>
  </mergeCells>
  <pageMargins left="0.32" right="0.43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Southwestern Michigan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L. Kite</dc:creator>
  <cp:lastModifiedBy>Employee</cp:lastModifiedBy>
  <cp:lastPrinted>2015-11-02T20:33:42Z</cp:lastPrinted>
  <dcterms:created xsi:type="dcterms:W3CDTF">2015-10-21T18:47:27Z</dcterms:created>
  <dcterms:modified xsi:type="dcterms:W3CDTF">2015-11-12T15:34:30Z</dcterms:modified>
</cp:coreProperties>
</file>